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folio Valuation &amp; Comps" sheetId="1" state="visible" r:id="rId1"/>
    <sheet xmlns:r="http://schemas.openxmlformats.org/officeDocument/2006/relationships" name="Production Schedule &amp; Ramps" sheetId="2" state="visible" r:id="rId2"/>
    <sheet xmlns:r="http://schemas.openxmlformats.org/officeDocument/2006/relationships" name="DCF Valuation &amp; Cash Flows" sheetId="3" state="visible" r:id="rId3"/>
    <sheet xmlns:r="http://schemas.openxmlformats.org/officeDocument/2006/relationships" name="Checks &amp; Methodolog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5">
    <numFmt numFmtId="164" formatCode="0.0%"/>
    <numFmt numFmtId="165" formatCode="$#,##0.00"/>
    <numFmt numFmtId="166" formatCode="0.0&quot;x&quot;"/>
    <numFmt numFmtId="167" formatCode="0.00&quot;x&quot;"/>
    <numFmt numFmtId="168" formatCode="$#,##0.00&quot;B&quot;"/>
    <numFmt numFmtId="169" formatCode="$#,##0"/>
    <numFmt numFmtId="170" formatCode="$#,##0.0"/>
    <numFmt numFmtId="171" formatCode="10.0%"/>
    <numFmt numFmtId="172" formatCode="3.0%"/>
    <numFmt numFmtId="173" formatCode="32.0%"/>
    <numFmt numFmtId="174" formatCode="22.0%"/>
    <numFmt numFmtId="175" formatCode="6.0%"/>
    <numFmt numFmtId="176" formatCode="5.0%"/>
    <numFmt numFmtId="177" formatCode="0.0000"/>
    <numFmt numFmtId="178" formatCode="$#,##0.0&quot;M&quot;"/>
  </numFmts>
  <fonts count="7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i val="1"/>
      <color rgb="00595959"/>
      <sz val="11"/>
    </font>
    <font>
      <name val="Calibri"/>
      <b val="1"/>
      <color rgb="00FFFFFF"/>
      <sz val="11"/>
    </font>
    <font>
      <name val="Calibri"/>
      <color rgb="00000000"/>
      <sz val="11"/>
    </font>
    <font>
      <name val="Calibri"/>
      <b val="1"/>
      <color rgb="00000000"/>
      <sz val="11"/>
    </font>
    <font>
      <name val="Calibri"/>
      <b val="1"/>
      <color rgb="007F6000"/>
      <sz val="11"/>
    </font>
  </fonts>
  <fills count="8">
    <fill>
      <patternFill/>
    </fill>
    <fill>
      <patternFill patternType="gray125"/>
    </fill>
    <fill>
      <patternFill patternType="solid">
        <fgColor rgb="002F5496"/>
        <bgColor rgb="002F5496"/>
      </patternFill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  <fill>
      <patternFill patternType="solid">
        <fgColor rgb="00E2EFDA"/>
        <bgColor rgb="00E2EFDA"/>
      </patternFill>
    </fill>
    <fill>
      <patternFill patternType="solid">
        <fgColor rgb="00D9E1F2"/>
        <bgColor rgb="00D9E1F2"/>
      </patternFill>
    </fill>
    <fill>
      <patternFill patternType="solid">
        <fgColor rgb="00FFF2CC"/>
        <bgColor rgb="00FFF2CC"/>
      </patternFill>
    </fill>
  </fills>
  <borders count="8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medium">
        <color rgb="001F4E7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D9D9D9"/>
      </top>
      <bottom style="double">
        <color rgb="001F4E79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/>
    </xf>
    <xf numFmtId="164" fontId="4" fillId="4" borderId="2" applyAlignment="1" pivotButton="0" quotePrefix="0" xfId="0">
      <alignment horizontal="right" vertical="center"/>
    </xf>
    <xf numFmtId="165" fontId="4" fillId="4" borderId="2" applyAlignment="1" pivotButton="0" quotePrefix="0" xfId="0">
      <alignment horizontal="right" vertical="center"/>
    </xf>
    <xf numFmtId="166" fontId="4" fillId="4" borderId="2" applyAlignment="1" pivotButton="0" quotePrefix="0" xfId="0">
      <alignment horizontal="right" vertical="center"/>
    </xf>
    <xf numFmtId="167" fontId="4" fillId="5" borderId="2" applyAlignment="1" pivotButton="0" quotePrefix="0" xfId="0">
      <alignment horizontal="right" vertical="center"/>
    </xf>
    <xf numFmtId="165" fontId="4" fillId="5" borderId="2" applyAlignment="1" pivotButton="0" quotePrefix="0" xfId="0">
      <alignment horizontal="right" vertical="center"/>
    </xf>
    <xf numFmtId="0" fontId="3" fillId="3" borderId="3" pivotButton="0" quotePrefix="0" xfId="0"/>
    <xf numFmtId="164" fontId="3" fillId="3" borderId="3" applyAlignment="1" pivotButton="0" quotePrefix="0" xfId="0">
      <alignment horizontal="right" vertical="center"/>
    </xf>
    <xf numFmtId="165" fontId="3" fillId="3" borderId="3" applyAlignment="1" pivotButton="0" quotePrefix="0" xfId="0">
      <alignment horizontal="right" vertical="center"/>
    </xf>
    <xf numFmtId="166" fontId="3" fillId="3" borderId="3" applyAlignment="1" pivotButton="0" quotePrefix="0" xfId="0">
      <alignment horizontal="right" vertical="center"/>
    </xf>
    <xf numFmtId="167" fontId="3" fillId="3" borderId="3" applyAlignment="1" pivotButton="0" quotePrefix="0" xfId="0">
      <alignment horizontal="right" vertical="center"/>
    </xf>
    <xf numFmtId="0" fontId="5" fillId="6" borderId="0" pivotButton="0" quotePrefix="0" xfId="0"/>
    <xf numFmtId="164" fontId="6" fillId="7" borderId="2" applyAlignment="1" pivotButton="0" quotePrefix="0" xfId="0">
      <alignment horizontal="center" vertical="center" wrapText="1"/>
    </xf>
    <xf numFmtId="166" fontId="6" fillId="7" borderId="2" applyAlignment="1" pivotButton="0" quotePrefix="0" xfId="0">
      <alignment horizontal="center" vertical="center" wrapText="1"/>
    </xf>
    <xf numFmtId="168" fontId="6" fillId="7" borderId="2" applyAlignment="1" pivotButton="0" quotePrefix="0" xfId="0">
      <alignment horizontal="center" vertical="center" wrapText="1"/>
    </xf>
    <xf numFmtId="0" fontId="6" fillId="7" borderId="2" applyAlignment="1" pivotButton="0" quotePrefix="0" xfId="0">
      <alignment horizontal="center" vertical="center" wrapText="1"/>
    </xf>
    <xf numFmtId="3" fontId="4" fillId="4" borderId="2" applyAlignment="1" pivotButton="0" quotePrefix="0" xfId="0">
      <alignment horizontal="right" vertical="center"/>
    </xf>
    <xf numFmtId="3" fontId="4" fillId="5" borderId="2" applyAlignment="1" pivotButton="0" quotePrefix="0" xfId="0">
      <alignment horizontal="right" vertical="center"/>
    </xf>
    <xf numFmtId="169" fontId="4" fillId="4" borderId="2" applyAlignment="1" pivotButton="0" quotePrefix="0" xfId="0">
      <alignment horizontal="right" vertical="center"/>
    </xf>
    <xf numFmtId="170" fontId="5" fillId="7" borderId="2" applyAlignment="1" pivotButton="0" quotePrefix="0" xfId="0">
      <alignment horizontal="right" vertical="center"/>
    </xf>
    <xf numFmtId="170" fontId="4" fillId="5" borderId="2" applyAlignment="1" pivotButton="0" quotePrefix="0" xfId="0">
      <alignment horizontal="right" vertical="center"/>
    </xf>
    <xf numFmtId="170" fontId="3" fillId="3" borderId="3" applyAlignment="1" pivotButton="0" quotePrefix="0" xfId="0">
      <alignment horizontal="right" vertical="center"/>
    </xf>
    <xf numFmtId="0" fontId="5" fillId="0" borderId="0" pivotButton="0" quotePrefix="0" xfId="0"/>
    <xf numFmtId="171" fontId="4" fillId="4" borderId="2" applyAlignment="1" pivotButton="0" quotePrefix="0" xfId="0">
      <alignment horizontal="center" vertical="center" wrapText="1"/>
    </xf>
    <xf numFmtId="172" fontId="4" fillId="4" borderId="2" applyAlignment="1" pivotButton="0" quotePrefix="0" xfId="0">
      <alignment horizontal="center" vertical="center" wrapText="1"/>
    </xf>
    <xf numFmtId="173" fontId="4" fillId="4" borderId="2" applyAlignment="1" pivotButton="0" quotePrefix="0" xfId="0">
      <alignment horizontal="center" vertical="center" wrapText="1"/>
    </xf>
    <xf numFmtId="174" fontId="4" fillId="4" borderId="2" applyAlignment="1" pivotButton="0" quotePrefix="0" xfId="0">
      <alignment horizontal="center" vertical="center" wrapText="1"/>
    </xf>
    <xf numFmtId="175" fontId="4" fillId="4" borderId="2" applyAlignment="1" pivotButton="0" quotePrefix="0" xfId="0">
      <alignment horizontal="center" vertical="center" wrapText="1"/>
    </xf>
    <xf numFmtId="176" fontId="4" fillId="4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/>
    </xf>
    <xf numFmtId="170" fontId="5" fillId="0" borderId="2" applyAlignment="1" pivotButton="0" quotePrefix="0" xfId="0">
      <alignment horizontal="right" vertical="center"/>
    </xf>
    <xf numFmtId="170" fontId="4" fillId="0" borderId="2" applyAlignment="1" pivotButton="0" quotePrefix="0" xfId="0">
      <alignment horizontal="right" vertical="center"/>
    </xf>
    <xf numFmtId="0" fontId="5" fillId="6" borderId="2" applyAlignment="1" pivotButton="0" quotePrefix="0" xfId="0">
      <alignment horizontal="left" vertical="center"/>
    </xf>
    <xf numFmtId="170" fontId="5" fillId="6" borderId="2" applyAlignment="1" pivotButton="0" quotePrefix="0" xfId="0">
      <alignment horizontal="right" vertical="center"/>
    </xf>
    <xf numFmtId="1" fontId="4" fillId="0" borderId="2" applyAlignment="1" pivotButton="0" quotePrefix="0" xfId="0">
      <alignment horizontal="right" vertical="center"/>
    </xf>
    <xf numFmtId="177" fontId="4" fillId="0" borderId="2" applyAlignment="1" pivotButton="0" quotePrefix="0" xfId="0">
      <alignment horizontal="right" vertical="center"/>
    </xf>
    <xf numFmtId="0" fontId="5" fillId="5" borderId="2" applyAlignment="1" pivotButton="0" quotePrefix="0" xfId="0">
      <alignment horizontal="left" vertical="center"/>
    </xf>
    <xf numFmtId="170" fontId="5" fillId="5" borderId="2" applyAlignment="1" pivotButton="0" quotePrefix="0" xfId="0">
      <alignment horizontal="right" vertical="center"/>
    </xf>
    <xf numFmtId="178" fontId="6" fillId="7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178" fontId="4" fillId="0" borderId="2" applyAlignment="1" pivotButton="0" quotePrefix="0" xfId="0">
      <alignment horizontal="center" vertical="center" wrapText="1"/>
    </xf>
    <xf numFmtId="0" fontId="5" fillId="4" borderId="2" pivotButton="0" quotePrefix="0" xfId="0"/>
    <xf numFmtId="0" fontId="4" fillId="0" borderId="2" pivotButton="0" quotePrefix="0" xfId="0"/>
    <xf numFmtId="0" fontId="0" fillId="0" borderId="6" pivotButton="0" quotePrefix="0" xfId="0"/>
    <xf numFmtId="0" fontId="0" fillId="0" borderId="7" pivotButton="0" quotePrefix="0" xfId="0"/>
    <xf numFmtId="0" fontId="5" fillId="5" borderId="2" pivotButton="0" quotePrefix="0" xfId="0"/>
    <xf numFmtId="0" fontId="5" fillId="7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showGridLines="1" workbookViewId="0">
      <selection activeCell="A1" sqref="A1"/>
    </sheetView>
  </sheetViews>
  <sheetFormatPr baseColWidth="8" defaultRowHeight="15"/>
  <cols>
    <col width="39" customWidth="1" min="1" max="1"/>
    <col width="15" customWidth="1" min="2" max="2"/>
    <col width="44" customWidth="1" min="3" max="3"/>
    <col width="16" customWidth="1" min="4" max="4"/>
    <col width="51" customWidth="1" min="5" max="5"/>
    <col width="31" customWidth="1" min="6" max="6"/>
    <col width="31" customWidth="1" min="7" max="7"/>
    <col width="31" customWidth="1" min="8" max="8"/>
    <col width="31" customWidth="1" min="9" max="9"/>
    <col width="25" customWidth="1" min="10" max="10"/>
    <col width="31" customWidth="1" min="11" max="11"/>
  </cols>
  <sheetData>
    <row r="1">
      <c r="A1" s="1" t="inlineStr">
        <is>
          <t>HUMANOID ROBOTICS SUPPLY CHAIN: PORTFOLIO VALUATION MODEL</t>
        </is>
      </c>
    </row>
    <row r="2">
      <c r="A2" s="2" t="inlineStr">
        <is>
          <t>Executive Summary, Target Valuation Multiples &amp; Risk/Return Allocation Matrix | Generated 2026</t>
        </is>
      </c>
    </row>
    <row r="3"/>
    <row r="4">
      <c r="A4" s="3" t="inlineStr">
        <is>
          <t>1. TARGET PORTFOLIO ALLOCATION &amp; VALUATION MULTIPLES</t>
        </is>
      </c>
    </row>
    <row r="5">
      <c r="A5" s="4" t="inlineStr">
        <is>
          <t>Company Name</t>
        </is>
      </c>
      <c r="B5" s="4" t="inlineStr">
        <is>
          <t>Ticker</t>
        </is>
      </c>
      <c r="C5" s="4" t="inlineStr">
        <is>
          <t>Supply Chain Role / Focus Area</t>
        </is>
      </c>
      <c r="D5" s="4" t="inlineStr">
        <is>
          <t>Allocation %</t>
        </is>
      </c>
      <c r="E5" s="4" t="inlineStr">
        <is>
          <t>Current Mkt Cap ($B)</t>
        </is>
      </c>
      <c r="F5" s="4" t="inlineStr">
        <is>
          <t>Forward P/E (x)</t>
        </is>
      </c>
      <c r="G5" s="4" t="inlineStr">
        <is>
          <t>3-Yr Rev CAGR (%)</t>
        </is>
      </c>
      <c r="H5" s="4" t="inlineStr">
        <is>
          <t>PEG Ratio (x)</t>
        </is>
      </c>
      <c r="I5" s="4" t="inlineStr">
        <is>
          <t>Target ROI % (5-Yr)</t>
        </is>
      </c>
      <c r="J5" s="4" t="inlineStr">
        <is>
          <t>Probability of Return</t>
        </is>
      </c>
      <c r="K5" s="4" t="inlineStr">
        <is>
          <t>Implied Target Mkt Cap ($B)</t>
        </is>
      </c>
    </row>
    <row r="6">
      <c r="A6" s="5" t="inlineStr">
        <is>
          <t>Ningbo Tuopu Group</t>
        </is>
      </c>
      <c r="B6" s="5" t="inlineStr">
        <is>
          <t>601689.SS</t>
        </is>
      </c>
      <c r="C6" s="5" t="inlineStr">
        <is>
          <t>Rotary Actuators &amp; Hand Drive Systems</t>
        </is>
      </c>
      <c r="D6" s="6" t="n">
        <v>0.3</v>
      </c>
      <c r="E6" s="7" t="n">
        <v>8.5</v>
      </c>
      <c r="F6" s="8" t="n">
        <v>22.5</v>
      </c>
      <c r="G6" s="6" t="n">
        <v>0.45</v>
      </c>
      <c r="H6" s="9">
        <f>F6/(G6*100)</f>
        <v/>
      </c>
      <c r="I6" s="6" t="n">
        <v>0.5</v>
      </c>
      <c r="J6" s="5" t="inlineStr">
        <is>
          <t>&gt;80% (High)</t>
        </is>
      </c>
      <c r="K6" s="10">
        <f>E6*(1+I6)</f>
        <v/>
      </c>
    </row>
    <row r="7">
      <c r="A7" s="5" t="inlineStr">
        <is>
          <t>Zhejiang Sanhua Controls</t>
        </is>
      </c>
      <c r="B7" s="5" t="inlineStr">
        <is>
          <t>002050.SZ</t>
        </is>
      </c>
      <c r="C7" s="5" t="inlineStr">
        <is>
          <t>Linear Actuators &amp; Joint Thermal Mgmt</t>
        </is>
      </c>
      <c r="D7" s="6" t="n">
        <v>0.25</v>
      </c>
      <c r="E7" s="7" t="n">
        <v>11.2</v>
      </c>
      <c r="F7" s="8" t="n">
        <v>24</v>
      </c>
      <c r="G7" s="6" t="n">
        <v>0.4</v>
      </c>
      <c r="H7" s="9">
        <f>F7/(G7*100)</f>
        <v/>
      </c>
      <c r="I7" s="6" t="n">
        <v>0.45</v>
      </c>
      <c r="J7" s="5" t="inlineStr">
        <is>
          <t>&gt;80% (High)</t>
        </is>
      </c>
      <c r="K7" s="10">
        <f>E7*(1+I7)</f>
        <v/>
      </c>
    </row>
    <row r="8">
      <c r="A8" s="5" t="inlineStr">
        <is>
          <t>Inovance Technology</t>
        </is>
      </c>
      <c r="B8" s="5" t="inlineStr">
        <is>
          <t>300124.SZ</t>
        </is>
      </c>
      <c r="C8" s="5" t="inlineStr">
        <is>
          <t>Industrial Servo Drives &amp; Motion Control</t>
        </is>
      </c>
      <c r="D8" s="6" t="n">
        <v>0.2</v>
      </c>
      <c r="E8" s="7" t="n">
        <v>18</v>
      </c>
      <c r="F8" s="8" t="n">
        <v>28</v>
      </c>
      <c r="G8" s="6" t="n">
        <v>0.3</v>
      </c>
      <c r="H8" s="9">
        <f>F8/(G8*100)</f>
        <v/>
      </c>
      <c r="I8" s="6" t="n">
        <v>0.25</v>
      </c>
      <c r="J8" s="5" t="inlineStr">
        <is>
          <t>&gt;80% (High)</t>
        </is>
      </c>
      <c r="K8" s="10">
        <f>E8*(1+I8)</f>
        <v/>
      </c>
    </row>
    <row r="9">
      <c r="A9" s="5" t="inlineStr">
        <is>
          <t>HL Mando / Moog Inc.</t>
        </is>
      </c>
      <c r="B9" s="5" t="inlineStr">
        <is>
          <t>204320.KS</t>
        </is>
      </c>
      <c r="C9" s="5" t="inlineStr">
        <is>
          <t>Boston Dynamics Actuators &amp; US Defense</t>
        </is>
      </c>
      <c r="D9" s="6" t="n">
        <v>0.15</v>
      </c>
      <c r="E9" s="7" t="n">
        <v>3.2</v>
      </c>
      <c r="F9" s="8" t="n">
        <v>16.5</v>
      </c>
      <c r="G9" s="6" t="n">
        <v>0.25</v>
      </c>
      <c r="H9" s="9">
        <f>F9/(G9*100)</f>
        <v/>
      </c>
      <c r="I9" s="6" t="n">
        <v>0.35</v>
      </c>
      <c r="J9" s="5" t="inlineStr">
        <is>
          <t>&gt;80% (High)</t>
        </is>
      </c>
      <c r="K9" s="10">
        <f>E9*(1+I9)</f>
        <v/>
      </c>
    </row>
    <row r="10">
      <c r="A10" s="5" t="inlineStr">
        <is>
          <t>Harmonic Drive Systems</t>
        </is>
      </c>
      <c r="B10" s="5" t="inlineStr">
        <is>
          <t>6324.T</t>
        </is>
      </c>
      <c r="C10" s="5" t="inlineStr">
        <is>
          <t>Precision Strain-Wave Gear Reducers</t>
        </is>
      </c>
      <c r="D10" s="6" t="n">
        <v>0.1</v>
      </c>
      <c r="E10" s="7" t="n">
        <v>4.1</v>
      </c>
      <c r="F10" s="8" t="n">
        <v>35</v>
      </c>
      <c r="G10" s="6" t="n">
        <v>0.35</v>
      </c>
      <c r="H10" s="9">
        <f>F10/(G10*100)</f>
        <v/>
      </c>
      <c r="I10" s="6" t="n">
        <v>0.4</v>
      </c>
      <c r="J10" s="5" t="inlineStr">
        <is>
          <t>&gt;80% (High)</t>
        </is>
      </c>
      <c r="K10" s="10">
        <f>E10*(1+I10)</f>
        <v/>
      </c>
    </row>
    <row r="11">
      <c r="A11" s="11" t="inlineStr">
        <is>
          <t>PORTFOLIO WEIGHTED AVERAGE / TOTAL</t>
        </is>
      </c>
      <c r="B11" s="11" t="n"/>
      <c r="C11" s="11" t="n"/>
      <c r="D11" s="12">
        <f>SUM(D6:D10)</f>
        <v/>
      </c>
      <c r="E11" s="13">
        <f>SUM(E6:E10)</f>
        <v/>
      </c>
      <c r="F11" s="14">
        <f>SUMPRODUCT(D6:D10, F6:F10)</f>
        <v/>
      </c>
      <c r="G11" s="12">
        <f>SUMPRODUCT(D6:D10, G6:G10)</f>
        <v/>
      </c>
      <c r="H11" s="15">
        <f>SUMPRODUCT(D6:D10, H6:H10)</f>
        <v/>
      </c>
      <c r="I11" s="12">
        <f>SUMPRODUCT(D6:D10, I6:I10)</f>
        <v/>
      </c>
      <c r="J11" s="11" t="n"/>
      <c r="K11" s="13">
        <f>SUM(K6:K10)</f>
        <v/>
      </c>
    </row>
    <row r="12"/>
    <row r="13">
      <c r="A13" s="3" t="inlineStr">
        <is>
          <t>2. PORTFOLIO KEY PERFORMANCE INDICATORS</t>
        </is>
      </c>
    </row>
    <row r="14">
      <c r="A14" s="16" t="inlineStr">
        <is>
          <t>Weighted Expected Return (5-Yr ROI)</t>
        </is>
      </c>
      <c r="D14" s="17">
        <f>I11</f>
        <v/>
      </c>
      <c r="E14" s="2" t="inlineStr">
        <is>
          <t>Target upside across Quadrant 1 leads</t>
        </is>
      </c>
    </row>
    <row r="15">
      <c r="A15" s="16" t="inlineStr">
        <is>
          <t>Weighted Forward P/E Multiple</t>
        </is>
      </c>
      <c r="D15" s="18">
        <f>F11</f>
        <v/>
      </c>
      <c r="E15" s="2" t="inlineStr">
        <is>
          <t>Blended valuation multiple across basket</t>
        </is>
      </c>
    </row>
    <row r="16">
      <c r="A16" s="16" t="inlineStr">
        <is>
          <t>Weighted 3-Yr Revenue CAGR</t>
        </is>
      </c>
      <c r="D16" s="17">
        <f>G11</f>
        <v/>
      </c>
      <c r="E16" s="2" t="inlineStr">
        <is>
          <t>Compounded top-line supplier growth rate</t>
        </is>
      </c>
    </row>
    <row r="17">
      <c r="A17" s="16" t="inlineStr">
        <is>
          <t>Portfolio Implied Target Market Cap</t>
        </is>
      </c>
      <c r="D17" s="19">
        <f>K11</f>
        <v/>
      </c>
      <c r="E17" s="2" t="inlineStr">
        <is>
          <t>Combined enterprise value post-ramp</t>
        </is>
      </c>
    </row>
    <row r="18">
      <c r="A18" s="16" t="inlineStr">
        <is>
          <t>Probability of Success Threshold</t>
        </is>
      </c>
      <c r="D18" s="20" t="inlineStr">
        <is>
          <t>80%+</t>
        </is>
      </c>
      <c r="E18" s="2" t="inlineStr">
        <is>
          <t>High conviction backstop via automotive Tier-1s</t>
        </is>
      </c>
    </row>
  </sheetData>
  <mergeCells count="12">
    <mergeCell ref="E14:K14"/>
    <mergeCell ref="A4:K4"/>
    <mergeCell ref="E17:K17"/>
    <mergeCell ref="E18:K18"/>
    <mergeCell ref="A14:C14"/>
    <mergeCell ref="A17:C17"/>
    <mergeCell ref="A18:C18"/>
    <mergeCell ref="E16:K16"/>
    <mergeCell ref="A13:K13"/>
    <mergeCell ref="A15:C15"/>
    <mergeCell ref="E15:K15"/>
    <mergeCell ref="A16:C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1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42" customWidth="1" min="3" max="3"/>
    <col width="42" customWidth="1" min="4" max="4"/>
    <col width="42" customWidth="1" min="5" max="5"/>
    <col width="42" customWidth="1" min="6" max="6"/>
    <col width="42" customWidth="1" min="7" max="7"/>
    <col width="42" customWidth="1" min="8" max="8"/>
  </cols>
  <sheetData>
    <row r="1">
      <c r="A1" s="1" t="inlineStr">
        <is>
          <t>HUMANOID ROBOTICS: PILOT LINE TO MASS PRODUCTION SCHEDULE</t>
        </is>
      </c>
    </row>
    <row r="2">
      <c r="A2" s="2" t="inlineStr">
        <is>
          <t>Factory Production Yields, Daily Unit Ramps &amp; Supplier ASP Ramps (Years 0 to 5)</t>
        </is>
      </c>
    </row>
    <row r="3"/>
    <row r="4">
      <c r="A4" s="3" t="inlineStr">
        <is>
          <t>1. GLOBAL HUMANOID PRODUCTION &amp; UNIT VOLUMES (INDUSTRY RAMP)</t>
        </is>
      </c>
    </row>
    <row r="5">
      <c r="A5" s="4" t="inlineStr">
        <is>
          <t>Metric / Parameter</t>
        </is>
      </c>
      <c r="B5" s="4" t="inlineStr">
        <is>
          <t>Unit</t>
        </is>
      </c>
      <c r="C5" s="4" t="inlineStr">
        <is>
          <t>Year 0 (Pilot)</t>
        </is>
      </c>
      <c r="D5" s="4" t="inlineStr">
        <is>
          <t>Year 1</t>
        </is>
      </c>
      <c r="E5" s="4" t="inlineStr">
        <is>
          <t>Year 2</t>
        </is>
      </c>
      <c r="F5" s="4" t="inlineStr">
        <is>
          <t>Year 3 (Harvest)</t>
        </is>
      </c>
      <c r="G5" s="4" t="inlineStr">
        <is>
          <t>Year 4</t>
        </is>
      </c>
      <c r="H5" s="4" t="inlineStr">
        <is>
          <t>Year 5 (Scale)</t>
        </is>
      </c>
    </row>
    <row r="6">
      <c r="A6" s="5" t="inlineStr">
        <is>
          <t>Factory Production Yield %</t>
        </is>
      </c>
      <c r="B6" s="5" t="inlineStr">
        <is>
          <t>Yield %</t>
        </is>
      </c>
      <c r="C6" s="6" t="n">
        <v>0.5</v>
      </c>
      <c r="D6" s="6" t="n">
        <v>0.7</v>
      </c>
      <c r="E6" s="6" t="n">
        <v>0.8</v>
      </c>
      <c r="F6" s="6" t="n">
        <v>0.88</v>
      </c>
      <c r="G6" s="6" t="n">
        <v>0.92</v>
      </c>
      <c r="H6" s="6" t="n">
        <v>0.95</v>
      </c>
    </row>
    <row r="7">
      <c r="A7" s="5" t="inlineStr">
        <is>
          <t>Daily Factory Output Rate</t>
        </is>
      </c>
      <c r="B7" s="5" t="inlineStr">
        <is>
          <t>Units / Day</t>
        </is>
      </c>
      <c r="C7" s="21" t="n">
        <v>50</v>
      </c>
      <c r="D7" s="21" t="n">
        <v>150</v>
      </c>
      <c r="E7" s="21" t="n">
        <v>500</v>
      </c>
      <c r="F7" s="21" t="n">
        <v>1500</v>
      </c>
      <c r="G7" s="21" t="n">
        <v>2200</v>
      </c>
      <c r="H7" s="21" t="n">
        <v>2740</v>
      </c>
    </row>
    <row r="8">
      <c r="A8" s="5" t="inlineStr">
        <is>
          <t>Annual Production Volume</t>
        </is>
      </c>
      <c r="B8" s="5" t="inlineStr">
        <is>
          <t>Units / Year</t>
        </is>
      </c>
      <c r="C8" s="22">
        <f>C7*365</f>
        <v/>
      </c>
      <c r="D8" s="22">
        <f>D7*365</f>
        <v/>
      </c>
      <c r="E8" s="22">
        <f>E7*365</f>
        <v/>
      </c>
      <c r="F8" s="22">
        <f>F7*365</f>
        <v/>
      </c>
      <c r="G8" s="22">
        <f>G7*365</f>
        <v/>
      </c>
      <c r="H8" s="22">
        <f>H7*365</f>
        <v/>
      </c>
    </row>
    <row r="9">
      <c r="A9" s="5" t="inlineStr">
        <is>
          <t>Avg Actuator Component Set ASP</t>
        </is>
      </c>
      <c r="B9" s="5" t="inlineStr">
        <is>
          <t>$ / Robot Set</t>
        </is>
      </c>
      <c r="C9" s="23" t="n">
        <v>15000</v>
      </c>
      <c r="D9" s="23" t="n">
        <v>12000</v>
      </c>
      <c r="E9" s="23" t="n">
        <v>9000</v>
      </c>
      <c r="F9" s="23" t="n">
        <v>7000</v>
      </c>
      <c r="G9" s="23" t="n">
        <v>5500</v>
      </c>
      <c r="H9" s="23" t="n">
        <v>4500</v>
      </c>
    </row>
    <row r="10">
      <c r="A10" s="5" t="inlineStr">
        <is>
          <t>Total Industry Actuator TAM ($M)</t>
        </is>
      </c>
      <c r="B10" s="5" t="inlineStr">
        <is>
          <t>$ Millions</t>
        </is>
      </c>
      <c r="C10" s="24">
        <f>C8*C9/1000000</f>
        <v/>
      </c>
      <c r="D10" s="24">
        <f>D8*D9/1000000</f>
        <v/>
      </c>
      <c r="E10" s="24">
        <f>E8*E9/1000000</f>
        <v/>
      </c>
      <c r="F10" s="24">
        <f>F8*F9/1000000</f>
        <v/>
      </c>
      <c r="G10" s="24">
        <f>G8*G9/1000000</f>
        <v/>
      </c>
      <c r="H10" s="24">
        <f>H8*H9/1000000</f>
        <v/>
      </c>
    </row>
    <row r="11"/>
    <row r="12">
      <c r="A12" s="3" t="inlineStr">
        <is>
          <t>2. SUPPLIER-SPECIFIC REVENUE RAMPS ($ MILLIONS)</t>
        </is>
      </c>
    </row>
    <row r="13">
      <c r="A13" s="4" t="inlineStr">
        <is>
          <t>Metric / Parameter</t>
        </is>
      </c>
      <c r="B13" s="4" t="inlineStr">
        <is>
          <t>Unit</t>
        </is>
      </c>
      <c r="C13" s="4" t="inlineStr">
        <is>
          <t>Year 0 (Pilot)</t>
        </is>
      </c>
      <c r="D13" s="4" t="inlineStr">
        <is>
          <t>Year 1</t>
        </is>
      </c>
      <c r="E13" s="4" t="inlineStr">
        <is>
          <t>Year 2</t>
        </is>
      </c>
      <c r="F13" s="4" t="inlineStr">
        <is>
          <t>Year 3 (Harvest)</t>
        </is>
      </c>
      <c r="G13" s="4" t="inlineStr">
        <is>
          <t>Year 4</t>
        </is>
      </c>
      <c r="H13" s="4" t="inlineStr">
        <is>
          <t>Year 5 (Scale)</t>
        </is>
      </c>
    </row>
    <row r="14">
      <c r="A14" s="5" t="inlineStr">
        <is>
          <t>Ningbo Tuopu Group (30% Share)</t>
        </is>
      </c>
      <c r="B14" s="5" t="inlineStr">
        <is>
          <t>$ Millions</t>
        </is>
      </c>
      <c r="C14" s="25">
        <f>'Portfolio Valuation &amp; Comps'!D6*C10</f>
        <v/>
      </c>
      <c r="D14" s="25">
        <f>'Portfolio Valuation &amp; Comps'!D6*D10</f>
        <v/>
      </c>
      <c r="E14" s="25">
        <f>'Portfolio Valuation &amp; Comps'!D6*E10</f>
        <v/>
      </c>
      <c r="F14" s="25">
        <f>'Portfolio Valuation &amp; Comps'!D6*F10</f>
        <v/>
      </c>
      <c r="G14" s="25">
        <f>'Portfolio Valuation &amp; Comps'!D6*G10</f>
        <v/>
      </c>
      <c r="H14" s="25">
        <f>'Portfolio Valuation &amp; Comps'!D6*H10</f>
        <v/>
      </c>
    </row>
    <row r="15">
      <c r="A15" s="5" t="inlineStr">
        <is>
          <t>Zhejiang Sanhua Controls (25% Share)</t>
        </is>
      </c>
      <c r="B15" s="5" t="inlineStr">
        <is>
          <t>$ Millions</t>
        </is>
      </c>
      <c r="C15" s="25">
        <f>'Portfolio Valuation &amp; Comps'!D7*C10</f>
        <v/>
      </c>
      <c r="D15" s="25">
        <f>'Portfolio Valuation &amp; Comps'!D7*D10</f>
        <v/>
      </c>
      <c r="E15" s="25">
        <f>'Portfolio Valuation &amp; Comps'!D7*E10</f>
        <v/>
      </c>
      <c r="F15" s="25">
        <f>'Portfolio Valuation &amp; Comps'!D7*F10</f>
        <v/>
      </c>
      <c r="G15" s="25">
        <f>'Portfolio Valuation &amp; Comps'!D7*G10</f>
        <v/>
      </c>
      <c r="H15" s="25">
        <f>'Portfolio Valuation &amp; Comps'!D7*H10</f>
        <v/>
      </c>
    </row>
    <row r="16">
      <c r="A16" s="5" t="inlineStr">
        <is>
          <t>Inovance Technology (20% Share)</t>
        </is>
      </c>
      <c r="B16" s="5" t="inlineStr">
        <is>
          <t>$ Millions</t>
        </is>
      </c>
      <c r="C16" s="25">
        <f>'Portfolio Valuation &amp; Comps'!D8*C10</f>
        <v/>
      </c>
      <c r="D16" s="25">
        <f>'Portfolio Valuation &amp; Comps'!D8*D10</f>
        <v/>
      </c>
      <c r="E16" s="25">
        <f>'Portfolio Valuation &amp; Comps'!D8*E10</f>
        <v/>
      </c>
      <c r="F16" s="25">
        <f>'Portfolio Valuation &amp; Comps'!D8*F10</f>
        <v/>
      </c>
      <c r="G16" s="25">
        <f>'Portfolio Valuation &amp; Comps'!D8*G10</f>
        <v/>
      </c>
      <c r="H16" s="25">
        <f>'Portfolio Valuation &amp; Comps'!D8*H10</f>
        <v/>
      </c>
    </row>
    <row r="17">
      <c r="A17" s="5" t="inlineStr">
        <is>
          <t>HL Mando / Moog Inc. (15% Share)</t>
        </is>
      </c>
      <c r="B17" s="5" t="inlineStr">
        <is>
          <t>$ Millions</t>
        </is>
      </c>
      <c r="C17" s="25">
        <f>'Portfolio Valuation &amp; Comps'!D9*C10</f>
        <v/>
      </c>
      <c r="D17" s="25">
        <f>'Portfolio Valuation &amp; Comps'!D9*D10</f>
        <v/>
      </c>
      <c r="E17" s="25">
        <f>'Portfolio Valuation &amp; Comps'!D9*E10</f>
        <v/>
      </c>
      <c r="F17" s="25">
        <f>'Portfolio Valuation &amp; Comps'!D9*F10</f>
        <v/>
      </c>
      <c r="G17" s="25">
        <f>'Portfolio Valuation &amp; Comps'!D9*G10</f>
        <v/>
      </c>
      <c r="H17" s="25">
        <f>'Portfolio Valuation &amp; Comps'!D9*H10</f>
        <v/>
      </c>
    </row>
    <row r="18">
      <c r="A18" s="5" t="inlineStr">
        <is>
          <t>Harmonic Drive Systems (10% Share)</t>
        </is>
      </c>
      <c r="B18" s="5" t="inlineStr">
        <is>
          <t>$ Millions</t>
        </is>
      </c>
      <c r="C18" s="25">
        <f>'Portfolio Valuation &amp; Comps'!D10*C10</f>
        <v/>
      </c>
      <c r="D18" s="25">
        <f>'Portfolio Valuation &amp; Comps'!D10*D10</f>
        <v/>
      </c>
      <c r="E18" s="25">
        <f>'Portfolio Valuation &amp; Comps'!D10*E10</f>
        <v/>
      </c>
      <c r="F18" s="25">
        <f>'Portfolio Valuation &amp; Comps'!D10*F10</f>
        <v/>
      </c>
      <c r="G18" s="25">
        <f>'Portfolio Valuation &amp; Comps'!D10*G10</f>
        <v/>
      </c>
      <c r="H18" s="25">
        <f>'Portfolio Valuation &amp; Comps'!D10*H10</f>
        <v/>
      </c>
    </row>
    <row r="19">
      <c r="A19" s="11" t="inlineStr">
        <is>
          <t>TOTAL PORTFOLIO REVENUE ($M)</t>
        </is>
      </c>
      <c r="B19" s="11" t="inlineStr">
        <is>
          <t>$ Millions</t>
        </is>
      </c>
      <c r="C19" s="26">
        <f>SUM(C14:C18)</f>
        <v/>
      </c>
      <c r="D19" s="26">
        <f>SUM(D14:D18)</f>
        <v/>
      </c>
      <c r="E19" s="26">
        <f>SUM(E14:E18)</f>
        <v/>
      </c>
      <c r="F19" s="26">
        <f>SUM(F14:F18)</f>
        <v/>
      </c>
      <c r="G19" s="26">
        <f>SUM(G14:G18)</f>
        <v/>
      </c>
      <c r="H19" s="26">
        <f>SUM(H14:H18)</f>
        <v/>
      </c>
    </row>
  </sheetData>
  <mergeCells count="2">
    <mergeCell ref="A12:H12"/>
    <mergeCell ref="A4:H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"/>
  <sheetViews>
    <sheetView showGridLines="1" workbookViewId="0">
      <selection activeCell="A1" sqref="A1"/>
    </sheetView>
  </sheetViews>
  <sheetFormatPr baseColWidth="8" defaultRowHeight="15"/>
  <cols>
    <col width="43" customWidth="1" min="1" max="1"/>
    <col width="15" customWidth="1" min="2" max="2"/>
    <col width="38" customWidth="1" min="3" max="3"/>
    <col width="44" customWidth="1" min="4" max="4"/>
    <col width="57" customWidth="1" min="5" max="5"/>
    <col width="38" customWidth="1" min="6" max="6"/>
    <col width="38" customWidth="1" min="7" max="7"/>
    <col width="38" customWidth="1" min="8" max="8"/>
  </cols>
  <sheetData>
    <row r="1">
      <c r="A1" s="1" t="inlineStr">
        <is>
          <t>PORTFOLIO DISCOUNTED CASH FLOW (DCF) &amp; IRR MODEL</t>
        </is>
      </c>
    </row>
    <row r="2">
      <c r="A2" s="2" t="inlineStr">
        <is>
          <t>5-Year Free Cash Flow Projections, WACC, Terminal Value &amp; Expected Portfolio IRR</t>
        </is>
      </c>
    </row>
    <row r="3"/>
    <row r="4">
      <c r="A4" s="3" t="inlineStr">
        <is>
          <t>1. DCF MODEL ASSUMPTIONS</t>
        </is>
      </c>
    </row>
    <row r="5">
      <c r="A5" s="27" t="inlineStr">
        <is>
          <t>Weighted Average Cost of Capital (WACC)</t>
        </is>
      </c>
      <c r="D5" s="28" t="n">
        <v>0.1</v>
      </c>
      <c r="E5" s="2" t="inlineStr">
        <is>
          <t>Discount rate reflecting cross-border equity risk</t>
        </is>
      </c>
    </row>
    <row r="6">
      <c r="A6" s="27" t="inlineStr">
        <is>
          <t>Terminal Long-Term Growth Rate</t>
        </is>
      </c>
      <c r="D6" s="29" t="n">
        <v>0.03</v>
      </c>
      <c r="E6" s="2" t="inlineStr">
        <is>
          <t>Perpetual growth rate post-Year 5</t>
        </is>
      </c>
    </row>
    <row r="7">
      <c r="A7" s="27" t="inlineStr">
        <is>
          <t>Average Portfolio Gross Margin</t>
        </is>
      </c>
      <c r="D7" s="30" t="n">
        <v>0.32</v>
      </c>
      <c r="E7" s="2" t="inlineStr">
        <is>
          <t>Blended Tier-1 actuator component gross margin</t>
        </is>
      </c>
    </row>
    <row r="8">
      <c r="A8" s="27" t="inlineStr">
        <is>
          <t>EBITDA Margin Target</t>
        </is>
      </c>
      <c r="D8" s="31" t="n">
        <v>0.22</v>
      </c>
      <c r="E8" s="2" t="inlineStr">
        <is>
          <t>Steady-state operating leverage margin</t>
        </is>
      </c>
    </row>
    <row r="9">
      <c r="A9" s="27" t="inlineStr">
        <is>
          <t>CapEx as % of Revenue</t>
        </is>
      </c>
      <c r="D9" s="32" t="n">
        <v>0.06</v>
      </c>
      <c r="E9" s="2" t="inlineStr">
        <is>
          <t>Sustaining capital expenditures for line automation</t>
        </is>
      </c>
    </row>
    <row r="10">
      <c r="A10" s="27" t="inlineStr">
        <is>
          <t>NWC Change as % of Revenue Growth</t>
        </is>
      </c>
      <c r="D10" s="33" t="n">
        <v>0.05</v>
      </c>
      <c r="E10" s="2" t="inlineStr">
        <is>
          <t>Working capital requirement for inventory/receivables</t>
        </is>
      </c>
    </row>
    <row r="11"/>
    <row r="12">
      <c r="A12" s="3" t="inlineStr">
        <is>
          <t>2. UNLEVERED FREE CASH FLOW PROJECTIONS ($M)</t>
        </is>
      </c>
    </row>
    <row r="13">
      <c r="A13" s="4" t="inlineStr">
        <is>
          <t>Metric / Parameter</t>
        </is>
      </c>
      <c r="B13" s="4" t="inlineStr">
        <is>
          <t>Unit</t>
        </is>
      </c>
      <c r="C13" s="4" t="inlineStr">
        <is>
          <t>Year 0 (Pilot)</t>
        </is>
      </c>
      <c r="D13" s="4" t="inlineStr">
        <is>
          <t>Year 1</t>
        </is>
      </c>
      <c r="E13" s="4" t="inlineStr">
        <is>
          <t>Year 2</t>
        </is>
      </c>
      <c r="F13" s="4" t="inlineStr">
        <is>
          <t>Year 3 (Harvest)</t>
        </is>
      </c>
      <c r="G13" s="4" t="inlineStr">
        <is>
          <t>Year 4</t>
        </is>
      </c>
      <c r="H13" s="4" t="inlineStr">
        <is>
          <t>Year 5 (Scale)</t>
        </is>
      </c>
    </row>
    <row r="14">
      <c r="A14" s="34" t="inlineStr">
        <is>
          <t>Total Portfolio Revenue</t>
        </is>
      </c>
      <c r="B14" s="34" t="inlineStr">
        <is>
          <t>$ Millions</t>
        </is>
      </c>
      <c r="C14" s="35">
        <f>'Production Schedule &amp; Ramps'!C19</f>
        <v/>
      </c>
      <c r="D14" s="35">
        <f>'Production Schedule &amp; Ramps'!D19</f>
        <v/>
      </c>
      <c r="E14" s="35">
        <f>'Production Schedule &amp; Ramps'!E19</f>
        <v/>
      </c>
      <c r="F14" s="35">
        <f>'Production Schedule &amp; Ramps'!F19</f>
        <v/>
      </c>
      <c r="G14" s="35">
        <f>'Production Schedule &amp; Ramps'!G19</f>
        <v/>
      </c>
      <c r="H14" s="35">
        <f>'Production Schedule &amp; Ramps'!H19</f>
        <v/>
      </c>
    </row>
    <row r="15">
      <c r="A15" s="5" t="inlineStr">
        <is>
          <t>Gross Profit (32% Margin)</t>
        </is>
      </c>
      <c r="B15" s="5" t="inlineStr">
        <is>
          <t>$ Millions</t>
        </is>
      </c>
      <c r="C15" s="36">
        <f>C14*$D$7</f>
        <v/>
      </c>
      <c r="D15" s="36">
        <f>D14*$D$7</f>
        <v/>
      </c>
      <c r="E15" s="36">
        <f>E14*$D$7</f>
        <v/>
      </c>
      <c r="F15" s="36">
        <f>F14*$D$7</f>
        <v/>
      </c>
      <c r="G15" s="36">
        <f>G14*$D$7</f>
        <v/>
      </c>
      <c r="H15" s="36">
        <f>H14*$D$7</f>
        <v/>
      </c>
    </row>
    <row r="16">
      <c r="A16" s="5" t="inlineStr">
        <is>
          <t>EBITDA (22% Margin)</t>
        </is>
      </c>
      <c r="B16" s="5" t="inlineStr">
        <is>
          <t>$ Millions</t>
        </is>
      </c>
      <c r="C16" s="36">
        <f>C14*$D$8</f>
        <v/>
      </c>
      <c r="D16" s="36">
        <f>D14*$D$8</f>
        <v/>
      </c>
      <c r="E16" s="36">
        <f>E14*$D$8</f>
        <v/>
      </c>
      <c r="F16" s="36">
        <f>F14*$D$8</f>
        <v/>
      </c>
      <c r="G16" s="36">
        <f>G14*$D$8</f>
        <v/>
      </c>
      <c r="H16" s="36">
        <f>H14*$D$8</f>
        <v/>
      </c>
    </row>
    <row r="17">
      <c r="A17" s="5" t="inlineStr">
        <is>
          <t>Less: CapEx (6% of Rev)</t>
        </is>
      </c>
      <c r="B17" s="5" t="inlineStr">
        <is>
          <t>$ Millions</t>
        </is>
      </c>
      <c r="C17" s="36">
        <f>C14*$D$9</f>
        <v/>
      </c>
      <c r="D17" s="36">
        <f>D14*$D$9</f>
        <v/>
      </c>
      <c r="E17" s="36">
        <f>E14*$D$9</f>
        <v/>
      </c>
      <c r="F17" s="36">
        <f>F14*$D$9</f>
        <v/>
      </c>
      <c r="G17" s="36">
        <f>G14*$D$9</f>
        <v/>
      </c>
      <c r="H17" s="36">
        <f>H14*$D$9</f>
        <v/>
      </c>
    </row>
    <row r="18">
      <c r="A18" s="5" t="inlineStr">
        <is>
          <t>Less: Change in NWC</t>
        </is>
      </c>
      <c r="B18" s="5" t="inlineStr">
        <is>
          <t>$ Millions</t>
        </is>
      </c>
      <c r="C18" s="36">
        <f>C14*$D$10</f>
        <v/>
      </c>
      <c r="D18" s="36">
        <f>(D14-C14)*$D$10</f>
        <v/>
      </c>
      <c r="E18" s="36">
        <f>(E14-D14)*$D$10</f>
        <v/>
      </c>
      <c r="F18" s="36">
        <f>(F14-E14)*$D$10</f>
        <v/>
      </c>
      <c r="G18" s="36">
        <f>(G14-F14)*$D$10</f>
        <v/>
      </c>
      <c r="H18" s="36">
        <f>(H14-G14)*$D$10</f>
        <v/>
      </c>
    </row>
    <row r="19">
      <c r="A19" s="37" t="inlineStr">
        <is>
          <t>Unlevered Free Cash Flow (FCFF)</t>
        </is>
      </c>
      <c r="B19" s="37" t="inlineStr">
        <is>
          <t>$ Millions</t>
        </is>
      </c>
      <c r="C19" s="38">
        <f>C16-C17-C18</f>
        <v/>
      </c>
      <c r="D19" s="38">
        <f>D16-D17-D18</f>
        <v/>
      </c>
      <c r="E19" s="38">
        <f>E16-E17-E18</f>
        <v/>
      </c>
      <c r="F19" s="38">
        <f>F16-F17-F18</f>
        <v/>
      </c>
      <c r="G19" s="38">
        <f>G16-G17-G18</f>
        <v/>
      </c>
      <c r="H19" s="38">
        <f>H16-H17-H18</f>
        <v/>
      </c>
    </row>
    <row r="20">
      <c r="A20" s="5" t="inlineStr">
        <is>
          <t>Discount Period (Years)</t>
        </is>
      </c>
      <c r="B20" s="5" t="inlineStr">
        <is>
          <t>Years</t>
        </is>
      </c>
      <c r="C20" s="39" t="n">
        <v>0</v>
      </c>
      <c r="D20" s="39" t="n">
        <v>1</v>
      </c>
      <c r="E20" s="39" t="n">
        <v>2</v>
      </c>
      <c r="F20" s="39" t="n">
        <v>3</v>
      </c>
      <c r="G20" s="39" t="n">
        <v>4</v>
      </c>
      <c r="H20" s="39" t="n">
        <v>5</v>
      </c>
    </row>
    <row r="21">
      <c r="A21" s="5" t="inlineStr">
        <is>
          <t>Discount Factor (1+WACC)^-t</t>
        </is>
      </c>
      <c r="B21" s="5" t="inlineStr">
        <is>
          <t>Factor</t>
        </is>
      </c>
      <c r="C21" s="40">
        <f>1/(1+$D$5)^C20</f>
        <v/>
      </c>
      <c r="D21" s="40">
        <f>1/(1+$D$5)^D20</f>
        <v/>
      </c>
      <c r="E21" s="40">
        <f>1/(1+$D$5)^E20</f>
        <v/>
      </c>
      <c r="F21" s="40">
        <f>1/(1+$D$5)^F20</f>
        <v/>
      </c>
      <c r="G21" s="40">
        <f>1/(1+$D$5)^G20</f>
        <v/>
      </c>
      <c r="H21" s="40">
        <f>1/(1+$D$5)^H20</f>
        <v/>
      </c>
    </row>
    <row r="22">
      <c r="A22" s="41" t="inlineStr">
        <is>
          <t>Present Value of FCFF</t>
        </is>
      </c>
      <c r="B22" s="41" t="inlineStr">
        <is>
          <t>$ Millions</t>
        </is>
      </c>
      <c r="C22" s="42">
        <f>C19*C21</f>
        <v/>
      </c>
      <c r="D22" s="42">
        <f>D19*D21</f>
        <v/>
      </c>
      <c r="E22" s="42">
        <f>E19*E21</f>
        <v/>
      </c>
      <c r="F22" s="42">
        <f>F19*F21</f>
        <v/>
      </c>
      <c r="G22" s="42">
        <f>G19*G21</f>
        <v/>
      </c>
      <c r="H22" s="42">
        <f>H19*H21</f>
        <v/>
      </c>
    </row>
    <row r="23"/>
    <row r="24">
      <c r="A24" s="3" t="inlineStr">
        <is>
          <t>3. DCF VALUATION SUMMARY &amp; RETURN METRICS</t>
        </is>
      </c>
    </row>
    <row r="25">
      <c r="A25" s="27" t="inlineStr">
        <is>
          <t>Cumulative PV of 5-Yr Cash Flows</t>
        </is>
      </c>
      <c r="D25" s="43">
        <f>SUM(D22:H22)</f>
        <v/>
      </c>
      <c r="E25" s="2" t="inlineStr">
        <is>
          <t>Sum of discounted cash flows Years 1 to 5</t>
        </is>
      </c>
    </row>
    <row r="26">
      <c r="A26" s="27" t="inlineStr">
        <is>
          <t>Terminal Value (Gordon Growth)</t>
        </is>
      </c>
      <c r="D26" s="43">
        <f>H19*(1+$D$6)/($D$5-$D$6)</f>
        <v/>
      </c>
      <c r="E26" s="2" t="inlineStr">
        <is>
          <t>Year 5 FCFF * (1+g) / (WACC - g)</t>
        </is>
      </c>
    </row>
    <row r="27">
      <c r="A27" s="27" t="inlineStr">
        <is>
          <t>PV of Terminal Value</t>
        </is>
      </c>
      <c r="D27" s="43">
        <f>D26*H21</f>
        <v/>
      </c>
      <c r="E27" s="2" t="inlineStr">
        <is>
          <t>Terminal value discounted back to Year 0</t>
        </is>
      </c>
    </row>
    <row r="28">
      <c r="A28" s="27" t="inlineStr">
        <is>
          <t>Implied Enterprise Value (EV)</t>
        </is>
      </c>
      <c r="D28" s="43">
        <f>D25+D27</f>
        <v/>
      </c>
      <c r="E28" s="2" t="inlineStr">
        <is>
          <t>Combined Present Value of Hardware Portfolio</t>
        </is>
      </c>
    </row>
    <row r="29">
      <c r="A29" s="27" t="inlineStr">
        <is>
          <t>Implied Portfolio ROI (5-Yr)</t>
        </is>
      </c>
      <c r="D29" s="17">
        <f>(D28/'Portfolio Valuation &amp; Comps'!E11)</f>
        <v/>
      </c>
      <c r="E29" s="2" t="inlineStr">
        <is>
          <t>Implied return vs baseline combined market cap</t>
        </is>
      </c>
    </row>
    <row r="30">
      <c r="A30" s="27" t="inlineStr">
        <is>
          <t>Projected Portfolio IRR</t>
        </is>
      </c>
      <c r="D30" s="17">
        <f>IRR(C19:H19)</f>
        <v/>
      </c>
      <c r="E30" s="2" t="inlineStr">
        <is>
          <t>Internal Rate of Return based on cash flow trajectory</t>
        </is>
      </c>
    </row>
  </sheetData>
  <mergeCells count="27">
    <mergeCell ref="A25:C25"/>
    <mergeCell ref="E26:H26"/>
    <mergeCell ref="A24:H24"/>
    <mergeCell ref="A27:C27"/>
    <mergeCell ref="E7:H7"/>
    <mergeCell ref="E25:H25"/>
    <mergeCell ref="A26:C26"/>
    <mergeCell ref="A5:C5"/>
    <mergeCell ref="A8:C8"/>
    <mergeCell ref="A29:C29"/>
    <mergeCell ref="E5:H5"/>
    <mergeCell ref="A10:C10"/>
    <mergeCell ref="A12:H12"/>
    <mergeCell ref="A28:C28"/>
    <mergeCell ref="E8:H8"/>
    <mergeCell ref="A9:C9"/>
    <mergeCell ref="E29:H29"/>
    <mergeCell ref="A30:C30"/>
    <mergeCell ref="E10:H10"/>
    <mergeCell ref="E28:H28"/>
    <mergeCell ref="A4:H4"/>
    <mergeCell ref="E9:H9"/>
    <mergeCell ref="A6:C6"/>
    <mergeCell ref="E6:H6"/>
    <mergeCell ref="E30:H30"/>
    <mergeCell ref="A7:C7"/>
    <mergeCell ref="E27:H2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1" workbookViewId="0">
      <selection activeCell="A1" sqref="A1"/>
    </sheetView>
  </sheetViews>
  <sheetFormatPr baseColWidth="8" defaultRowHeight="15"/>
  <cols>
    <col width="35" customWidth="1" min="1" max="1"/>
    <col width="62" customWidth="1" min="2" max="2"/>
    <col width="68" customWidth="1" min="3" max="3"/>
    <col width="43" customWidth="1" min="4" max="4"/>
    <col width="70" customWidth="1" min="5" max="5"/>
    <col width="15" customWidth="1" min="6" max="6"/>
  </cols>
  <sheetData>
    <row r="1">
      <c r="A1" s="1" t="inlineStr">
        <is>
          <t>MODEL INTEGRITY CHECKS &amp; METHODOLOGY</t>
        </is>
      </c>
    </row>
    <row r="2">
      <c r="A2" s="2" t="inlineStr">
        <is>
          <t>Automated Model Auditing, Sign Checks &amp; Source References</t>
        </is>
      </c>
    </row>
    <row r="3"/>
    <row r="4">
      <c r="A4" s="3" t="inlineStr">
        <is>
          <t>1. AUTOMATED INTEGRITY CHECKS</t>
        </is>
      </c>
    </row>
    <row r="5">
      <c r="A5" s="4" t="inlineStr">
        <is>
          <t>Audit Item / Test</t>
        </is>
      </c>
      <c r="B5" s="4" t="inlineStr">
        <is>
          <t>Target / Requirement</t>
        </is>
      </c>
      <c r="C5" s="4" t="inlineStr">
        <is>
          <t>Model Output</t>
        </is>
      </c>
      <c r="D5" s="4" t="inlineStr">
        <is>
          <t>Status Check</t>
        </is>
      </c>
      <c r="E5" s="4" t="inlineStr">
        <is>
          <t>Audit Result</t>
        </is>
      </c>
    </row>
    <row r="6">
      <c r="A6" s="5" t="inlineStr">
        <is>
          <t>Portfolio Weight Allocation Sum</t>
        </is>
      </c>
      <c r="B6" s="5" t="inlineStr">
        <is>
          <t>100.0%</t>
        </is>
      </c>
      <c r="C6" s="44">
        <f>'Portfolio Valuation &amp; Comps'!D11</f>
        <v/>
      </c>
      <c r="D6" s="45">
        <f>IF(ABS(C6-1.0)&lt;0.0001, "PASS", "FAIL")</f>
        <v/>
      </c>
      <c r="E6" s="5">
        <f>IF(D6="PASS", "OK: Fully Allocated", "ERROR: Weights != 100%")</f>
        <v/>
      </c>
    </row>
    <row r="7">
      <c r="A7" s="5" t="inlineStr">
        <is>
          <t>DCF Terminal Growth &lt; WACC</t>
        </is>
      </c>
      <c r="B7" s="5" t="inlineStr">
        <is>
          <t>WACC &gt; g</t>
        </is>
      </c>
      <c r="C7" s="46">
        <f>'DCF Valuation &amp; Cash Flows'!D5-'DCF Valuation &amp; Cash Flows'!D6</f>
        <v/>
      </c>
      <c r="D7" s="45">
        <f>IF(C7&gt;0, "PASS", "FAIL")</f>
        <v/>
      </c>
      <c r="E7" s="5">
        <f>IF(D7="PASS", "OK: Positive Denominator", "ERROR: WACC &lt;= g")</f>
        <v/>
      </c>
    </row>
    <row r="8">
      <c r="A8" s="5" t="inlineStr">
        <is>
          <t>Implied Enterprise Value Check</t>
        </is>
      </c>
      <c r="B8" s="5" t="inlineStr">
        <is>
          <t>&gt; $0.0M</t>
        </is>
      </c>
      <c r="C8" s="47">
        <f>'DCF Valuation &amp; Cash Flows'!D28</f>
        <v/>
      </c>
      <c r="D8" s="45">
        <f>IF(C8&gt;0, "PASS", "FAIL")</f>
        <v/>
      </c>
      <c r="E8" s="5">
        <f>IF(D8="PASS", "OK: Positive Valuation", "ERROR: Non-positive EV")</f>
        <v/>
      </c>
    </row>
    <row r="9">
      <c r="A9" s="5" t="inlineStr">
        <is>
          <t>Cash Flow Linkage Integrity</t>
        </is>
      </c>
      <c r="B9" s="5" t="inlineStr">
        <is>
          <t>Matches Revenue Ramp</t>
        </is>
      </c>
      <c r="C9" s="46">
        <f>'DCF Valuation &amp; Cash Flows'!C14</f>
        <v/>
      </c>
      <c r="D9" s="45">
        <f>IF(C9&gt;0, "PASS", "FAIL")</f>
        <v/>
      </c>
      <c r="E9" s="5">
        <f>IF(D9="PASS", "OK: Formula Linked", "ERROR: Unlinked Cash Flow")</f>
        <v/>
      </c>
    </row>
    <row r="10"/>
    <row r="11"/>
    <row r="12">
      <c r="A12" s="3" t="inlineStr">
        <is>
          <t>2. MODEL COLOR CODING LEGEND</t>
        </is>
      </c>
    </row>
    <row r="13">
      <c r="A13" s="48" t="inlineStr">
        <is>
          <t>Soft Blue Fill (#DCE6F1)</t>
        </is>
      </c>
      <c r="B13" s="49" t="inlineStr">
        <is>
          <t>User Input / Driver Assumption (Editable)</t>
        </is>
      </c>
      <c r="C13" s="50" t="n"/>
      <c r="D13" s="50" t="n"/>
      <c r="E13" s="50" t="n"/>
      <c r="F13" s="51" t="n"/>
    </row>
    <row r="14">
      <c r="A14" s="52" t="inlineStr">
        <is>
          <t>Soft Green Fill (#E2EFDA)</t>
        </is>
      </c>
      <c r="B14" s="49" t="inlineStr">
        <is>
          <t>Calculated Output / Formula Cell</t>
        </is>
      </c>
      <c r="C14" s="50" t="n"/>
      <c r="D14" s="50" t="n"/>
      <c r="E14" s="50" t="n"/>
      <c r="F14" s="51" t="n"/>
    </row>
    <row r="15">
      <c r="A15" s="53" t="inlineStr">
        <is>
          <t>Gold Accent Fill (#FFF2CC)</t>
        </is>
      </c>
      <c r="B15" s="49" t="inlineStr">
        <is>
          <t>Key Performance Indicator / Executive Summary Highlighting</t>
        </is>
      </c>
      <c r="C15" s="50" t="n"/>
      <c r="D15" s="50" t="n"/>
      <c r="E15" s="50" t="n"/>
      <c r="F15" s="51" t="n"/>
    </row>
    <row r="16">
      <c r="A16" s="48" t="inlineStr">
        <is>
          <t>Dark Blue Header (#1F4E79)</t>
        </is>
      </c>
      <c r="B16" s="49" t="inlineStr">
        <is>
          <t>Table Headers &amp; Total Highlights</t>
        </is>
      </c>
      <c r="C16" s="50" t="n"/>
      <c r="D16" s="50" t="n"/>
      <c r="E16" s="50" t="n"/>
      <c r="F16" s="51" t="n"/>
    </row>
  </sheetData>
  <mergeCells count="6">
    <mergeCell ref="B16:F16"/>
    <mergeCell ref="B15:F15"/>
    <mergeCell ref="A12:F12"/>
    <mergeCell ref="A4:F4"/>
    <mergeCell ref="B14:F14"/>
    <mergeCell ref="B13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2026-09-23T09:16:04Z</dcterms:created>
  <dcterms:modified xmlns:dcterms="http://purl.org/dc/terms/" xmlns:xsi="http://www.w3.org/2001/XMLSchema-instance" xsi:type="dcterms:W3CDTF">2026-09-23T09:16:04Z</dcterms:modified>
</cp:coreProperties>
</file>